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30" windowWidth="14175" windowHeight="532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M94" i="1"/>
  <c r="L94"/>
  <c r="L69"/>
  <c r="K69"/>
  <c r="L66"/>
  <c r="K66"/>
  <c r="K63"/>
  <c r="L63" s="1"/>
  <c r="L60"/>
  <c r="L59"/>
  <c r="L58"/>
  <c r="P18"/>
  <c r="O18"/>
  <c r="J19"/>
  <c r="K18"/>
  <c r="N16"/>
  <c r="M15"/>
  <c r="L15"/>
  <c r="L12"/>
  <c r="L13"/>
  <c r="L11"/>
  <c r="P6"/>
  <c r="K94" s="1"/>
  <c r="P5"/>
  <c r="P4"/>
  <c r="M6"/>
  <c r="M5"/>
  <c r="M4"/>
  <c r="M60" s="1"/>
  <c r="K70" s="1"/>
  <c r="C11"/>
  <c r="B11"/>
  <c r="G8"/>
  <c r="F8"/>
  <c r="B8"/>
  <c r="D4"/>
  <c r="D6" s="1"/>
  <c r="F5"/>
  <c r="F4"/>
  <c r="B19" s="1"/>
  <c r="N94" l="1"/>
  <c r="M59"/>
  <c r="L67" s="1"/>
  <c r="M66"/>
  <c r="M69"/>
  <c r="M58"/>
  <c r="M11"/>
  <c r="M16" s="1"/>
  <c r="K64"/>
  <c r="L70"/>
  <c r="D19"/>
  <c r="M12"/>
  <c r="Q18"/>
  <c r="M13"/>
  <c r="P19" s="1"/>
  <c r="N15"/>
  <c r="O19"/>
  <c r="A9"/>
  <c r="C28"/>
  <c r="B28"/>
  <c r="F9"/>
  <c r="B12"/>
  <c r="E9"/>
  <c r="B9"/>
  <c r="A12"/>
  <c r="L16" l="1"/>
  <c r="K67"/>
  <c r="P83"/>
  <c r="K19"/>
  <c r="P33"/>
  <c r="G22"/>
  <c r="B30"/>
  <c r="C30"/>
  <c r="H22"/>
  <c r="F22"/>
  <c r="C22"/>
  <c r="D22"/>
  <c r="E22"/>
  <c r="N35" l="1"/>
  <c r="L37" s="1"/>
  <c r="N85"/>
  <c r="L87" s="1"/>
  <c r="O94" s="1"/>
  <c r="P94" l="1"/>
  <c r="Q94" s="1"/>
  <c r="K100"/>
  <c r="L101" l="1"/>
  <c r="R94"/>
  <c r="L96" s="1"/>
</calcChain>
</file>

<file path=xl/sharedStrings.xml><?xml version="1.0" encoding="utf-8"?>
<sst xmlns="http://schemas.openxmlformats.org/spreadsheetml/2006/main" count="68" uniqueCount="50">
  <si>
    <t>α</t>
  </si>
  <si>
    <t>γ</t>
  </si>
  <si>
    <t>tc [min]</t>
  </si>
  <si>
    <t>tk [min]</t>
  </si>
  <si>
    <t>P [mm]</t>
  </si>
  <si>
    <t>C</t>
  </si>
  <si>
    <t>i [mm/min]</t>
  </si>
  <si>
    <t>t [min]</t>
  </si>
  <si>
    <t>Posdliv</t>
  </si>
  <si>
    <t>A [ha]</t>
  </si>
  <si>
    <t>Kolektor</t>
  </si>
  <si>
    <t>L [m]</t>
  </si>
  <si>
    <t>Ik [%]</t>
  </si>
  <si>
    <t>Tabel 1. Podaci o podslivovima</t>
  </si>
  <si>
    <t>Tabela 2. Podaci o kolektorima</t>
  </si>
  <si>
    <t>AC</t>
  </si>
  <si>
    <t>BC</t>
  </si>
  <si>
    <t>CD</t>
  </si>
  <si>
    <t>Tabela 3. Određivanje hidrograma oticaja i merodavnog protoka na podslivu 2</t>
  </si>
  <si>
    <t>Qmax,2(tk) [l/s]</t>
  </si>
  <si>
    <t>i (T, tk) [mm/min]</t>
  </si>
  <si>
    <t>T [god]</t>
  </si>
  <si>
    <t>Merodavan protok za dimenzionisanje kolektora BC je:</t>
  </si>
  <si>
    <t>Qm [l/s]</t>
  </si>
  <si>
    <t>n [m-1/3/s]</t>
  </si>
  <si>
    <t>→</t>
  </si>
  <si>
    <t>D [mm]</t>
  </si>
  <si>
    <t>Tabela 4. Određivanje hidrograma oticaja i merodavnog protoka na podslivu 1</t>
  </si>
  <si>
    <t>Usvojeno:</t>
  </si>
  <si>
    <t>Merodavan protok za dimenzionisanje kolektora AC je:</t>
  </si>
  <si>
    <r>
      <t>t</t>
    </r>
    <r>
      <rPr>
        <b/>
        <vertAlign val="subscript"/>
        <sz val="11"/>
        <color theme="1"/>
        <rFont val="Calibri"/>
        <family val="2"/>
        <scheme val="minor"/>
      </rPr>
      <t>k</t>
    </r>
    <r>
      <rPr>
        <b/>
        <sz val="11"/>
        <color theme="1"/>
        <rFont val="Calibri"/>
        <family val="2"/>
        <scheme val="minor"/>
      </rPr>
      <t xml:space="preserve"> [min]</t>
    </r>
  </si>
  <si>
    <r>
      <t>t</t>
    </r>
    <r>
      <rPr>
        <b/>
        <vertAlign val="subscript"/>
        <sz val="11"/>
        <color theme="1"/>
        <rFont val="Calibri"/>
        <family val="2"/>
        <scheme val="minor"/>
      </rPr>
      <t>c1</t>
    </r>
    <r>
      <rPr>
        <b/>
        <sz val="11"/>
        <color theme="1"/>
        <rFont val="Calibri"/>
        <family val="2"/>
        <scheme val="minor"/>
      </rPr>
      <t xml:space="preserve"> [min]</t>
    </r>
  </si>
  <si>
    <r>
      <t>t</t>
    </r>
    <r>
      <rPr>
        <b/>
        <vertAlign val="subscript"/>
        <sz val="11"/>
        <color theme="1"/>
        <rFont val="Calibri"/>
        <family val="2"/>
        <scheme val="minor"/>
      </rPr>
      <t>c2</t>
    </r>
    <r>
      <rPr>
        <b/>
        <sz val="11"/>
        <color theme="1"/>
        <rFont val="Calibri"/>
        <family val="2"/>
        <scheme val="minor"/>
      </rPr>
      <t xml:space="preserve"> [min]</t>
    </r>
  </si>
  <si>
    <r>
      <t>A</t>
    </r>
    <r>
      <rPr>
        <b/>
        <vertAlign val="subscript"/>
        <sz val="11"/>
        <color theme="1"/>
        <rFont val="Calibri"/>
        <family val="2"/>
        <scheme val="minor"/>
      </rPr>
      <t>1</t>
    </r>
    <r>
      <rPr>
        <b/>
        <sz val="11"/>
        <color theme="1"/>
        <rFont val="Calibri"/>
        <family val="2"/>
        <scheme val="minor"/>
      </rPr>
      <t xml:space="preserve"> [m2]</t>
    </r>
  </si>
  <si>
    <r>
      <t>A</t>
    </r>
    <r>
      <rPr>
        <b/>
        <vertAlign val="sub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 xml:space="preserve"> [m2]</t>
    </r>
  </si>
  <si>
    <r>
      <t>Q</t>
    </r>
    <r>
      <rPr>
        <b/>
        <vertAlign val="subscript"/>
        <sz val="11"/>
        <color theme="1"/>
        <rFont val="Calibri"/>
        <family val="2"/>
        <scheme val="minor"/>
      </rPr>
      <t>1,max</t>
    </r>
    <r>
      <rPr>
        <b/>
        <sz val="11"/>
        <color theme="1"/>
        <rFont val="Calibri"/>
        <family val="2"/>
        <scheme val="minor"/>
      </rPr>
      <t xml:space="preserve"> [l/s]</t>
    </r>
  </si>
  <si>
    <r>
      <t>Q</t>
    </r>
    <r>
      <rPr>
        <b/>
        <vertAlign val="subscript"/>
        <sz val="11"/>
        <color theme="1"/>
        <rFont val="Calibri"/>
        <family val="2"/>
        <scheme val="minor"/>
      </rPr>
      <t>2,max</t>
    </r>
    <r>
      <rPr>
        <b/>
        <sz val="11"/>
        <color theme="1"/>
        <rFont val="Calibri"/>
        <family val="2"/>
        <scheme val="minor"/>
      </rPr>
      <t xml:space="preserve"> [l/s]</t>
    </r>
  </si>
  <si>
    <r>
      <t>Q</t>
    </r>
    <r>
      <rPr>
        <b/>
        <vertAlign val="subscript"/>
        <sz val="11"/>
        <color theme="1"/>
        <rFont val="Calibri"/>
        <family val="2"/>
        <scheme val="minor"/>
      </rPr>
      <t>1+2</t>
    </r>
    <r>
      <rPr>
        <b/>
        <sz val="11"/>
        <color theme="1"/>
        <rFont val="Calibri"/>
        <family val="2"/>
        <scheme val="minor"/>
      </rPr>
      <t xml:space="preserve"> [l/s]</t>
    </r>
  </si>
  <si>
    <t>Cev</t>
  </si>
  <si>
    <t>Tabela 4. Dimenzionisanje kolektora CD</t>
  </si>
  <si>
    <r>
      <t>I</t>
    </r>
    <r>
      <rPr>
        <b/>
        <vertAlign val="subscript"/>
        <sz val="11"/>
        <color theme="1"/>
        <rFont val="Calibri"/>
        <family val="2"/>
        <scheme val="minor"/>
      </rPr>
      <t>k</t>
    </r>
    <r>
      <rPr>
        <b/>
        <sz val="11"/>
        <color theme="1"/>
        <rFont val="Calibri"/>
        <family val="2"/>
        <scheme val="minor"/>
      </rPr>
      <t xml:space="preserve"> [%]</t>
    </r>
  </si>
  <si>
    <r>
      <t>t</t>
    </r>
    <r>
      <rPr>
        <b/>
        <vertAlign val="subscript"/>
        <sz val="11"/>
        <color theme="1"/>
        <rFont val="Calibri"/>
        <family val="2"/>
      </rPr>
      <t>c</t>
    </r>
    <r>
      <rPr>
        <b/>
        <sz val="11"/>
        <color theme="1"/>
        <rFont val="Calibri"/>
        <family val="2"/>
      </rPr>
      <t xml:space="preserve"> [min]</t>
    </r>
  </si>
  <si>
    <r>
      <t>Q</t>
    </r>
    <r>
      <rPr>
        <b/>
        <vertAlign val="subscript"/>
        <sz val="11"/>
        <color theme="1"/>
        <rFont val="Calibri"/>
        <family val="2"/>
      </rPr>
      <t>mer</t>
    </r>
    <r>
      <rPr>
        <b/>
        <sz val="11"/>
        <color theme="1"/>
        <rFont val="Calibri"/>
        <family val="2"/>
      </rPr>
      <t xml:space="preserve"> [l/s]</t>
    </r>
  </si>
  <si>
    <r>
      <t>D</t>
    </r>
    <r>
      <rPr>
        <b/>
        <vertAlign val="subscript"/>
        <sz val="11"/>
        <color theme="1"/>
        <rFont val="Calibri"/>
        <family val="2"/>
      </rPr>
      <t>rač</t>
    </r>
    <r>
      <rPr>
        <b/>
        <sz val="11"/>
        <color theme="1"/>
        <rFont val="Calibri"/>
        <family val="2"/>
      </rPr>
      <t xml:space="preserve"> [mm]</t>
    </r>
  </si>
  <si>
    <r>
      <t>D</t>
    </r>
    <r>
      <rPr>
        <b/>
        <vertAlign val="subscript"/>
        <sz val="11"/>
        <color theme="1"/>
        <rFont val="Calibri"/>
        <family val="2"/>
      </rPr>
      <t>usv</t>
    </r>
    <r>
      <rPr>
        <b/>
        <sz val="11"/>
        <color theme="1"/>
        <rFont val="Calibri"/>
        <family val="2"/>
      </rPr>
      <t xml:space="preserve"> [mm]</t>
    </r>
  </si>
  <si>
    <t>Merodavno trajanje kiše, povratnog perioda 5 godina, za dimenzionisanje kolektora CD je jednako vremenu koncentracije.</t>
  </si>
  <si>
    <t>Ono iznosi</t>
  </si>
  <si>
    <t>minuta.</t>
  </si>
  <si>
    <t xml:space="preserve">Merodavan protok je </t>
  </si>
  <si>
    <t>litara u sekundi.</t>
  </si>
</sst>
</file>

<file path=xl/styles.xml><?xml version="1.0" encoding="utf-8"?>
<styleSheet xmlns="http://schemas.openxmlformats.org/spreadsheetml/2006/main">
  <numFmts count="1">
    <numFmt numFmtId="164" formatCode="0.0"/>
  </numFmts>
  <fonts count="7"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i/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Calibri"/>
      <family val="2"/>
    </font>
    <font>
      <b/>
      <vertAlign val="subscript"/>
      <sz val="11"/>
      <color theme="1"/>
      <name val="Calibri"/>
      <family val="2"/>
      <scheme val="minor"/>
    </font>
    <font>
      <b/>
      <vertAlign val="subscript"/>
      <sz val="11"/>
      <color theme="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31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slantDashDot">
        <color indexed="64"/>
      </left>
      <right/>
      <top style="slantDashDot">
        <color indexed="64"/>
      </top>
      <bottom style="slantDashDot">
        <color indexed="64"/>
      </bottom>
      <diagonal/>
    </border>
    <border>
      <left/>
      <right style="slantDashDot">
        <color indexed="64"/>
      </right>
      <top style="slantDashDot">
        <color indexed="64"/>
      </top>
      <bottom style="slantDashDot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85">
    <xf numFmtId="0" fontId="0" fillId="0" borderId="0" xfId="0"/>
    <xf numFmtId="0" fontId="0" fillId="0" borderId="8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1" fontId="0" fillId="0" borderId="12" xfId="0" applyNumberFormat="1" applyBorder="1" applyAlignment="1">
      <alignment horizontal="center"/>
    </xf>
    <xf numFmtId="1" fontId="0" fillId="0" borderId="14" xfId="0" applyNumberFormat="1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17" xfId="0" applyBorder="1" applyAlignment="1">
      <alignment horizontal="center"/>
    </xf>
    <xf numFmtId="0" fontId="2" fillId="0" borderId="0" xfId="0" applyFont="1"/>
    <xf numFmtId="0" fontId="0" fillId="0" borderId="0" xfId="0" applyAlignment="1">
      <alignment vertical="center"/>
    </xf>
    <xf numFmtId="164" fontId="0" fillId="0" borderId="0" xfId="0" applyNumberFormat="1"/>
    <xf numFmtId="164" fontId="0" fillId="0" borderId="8" xfId="0" applyNumberFormat="1" applyBorder="1" applyAlignment="1">
      <alignment horizontal="center"/>
    </xf>
    <xf numFmtId="164" fontId="0" fillId="0" borderId="13" xfId="0" applyNumberFormat="1" applyBorder="1" applyAlignment="1">
      <alignment horizontal="center"/>
    </xf>
    <xf numFmtId="0" fontId="1" fillId="0" borderId="0" xfId="0" applyFont="1" applyAlignment="1">
      <alignment horizontal="center"/>
    </xf>
    <xf numFmtId="0" fontId="4" fillId="0" borderId="7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3" fillId="0" borderId="16" xfId="0" applyFont="1" applyBorder="1" applyAlignment="1">
      <alignment horizontal="center"/>
    </xf>
    <xf numFmtId="0" fontId="3" fillId="2" borderId="18" xfId="0" applyFont="1" applyFill="1" applyBorder="1" applyAlignment="1">
      <alignment horizontal="center"/>
    </xf>
    <xf numFmtId="0" fontId="3" fillId="2" borderId="19" xfId="0" applyFont="1" applyFill="1" applyBorder="1" applyAlignment="1">
      <alignment horizontal="center"/>
    </xf>
    <xf numFmtId="164" fontId="0" fillId="0" borderId="6" xfId="0" applyNumberFormat="1" applyBorder="1" applyAlignment="1">
      <alignment horizontal="center"/>
    </xf>
    <xf numFmtId="164" fontId="0" fillId="0" borderId="22" xfId="0" applyNumberFormat="1" applyBorder="1" applyAlignment="1">
      <alignment horizontal="center"/>
    </xf>
    <xf numFmtId="164" fontId="0" fillId="0" borderId="23" xfId="0" applyNumberFormat="1" applyBorder="1" applyAlignment="1">
      <alignment horizontal="center"/>
    </xf>
    <xf numFmtId="0" fontId="0" fillId="0" borderId="9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2" fontId="0" fillId="0" borderId="10" xfId="0" applyNumberFormat="1" applyBorder="1" applyAlignment="1">
      <alignment horizontal="center"/>
    </xf>
    <xf numFmtId="2" fontId="0" fillId="0" borderId="26" xfId="0" applyNumberFormat="1" applyBorder="1" applyAlignment="1">
      <alignment horizontal="center"/>
    </xf>
    <xf numFmtId="2" fontId="0" fillId="0" borderId="27" xfId="0" applyNumberFormat="1" applyBorder="1" applyAlignment="1">
      <alignment horizontal="center"/>
    </xf>
    <xf numFmtId="0" fontId="3" fillId="0" borderId="7" xfId="0" applyFont="1" applyBorder="1"/>
    <xf numFmtId="0" fontId="0" fillId="0" borderId="8" xfId="0" applyBorder="1"/>
    <xf numFmtId="164" fontId="3" fillId="0" borderId="7" xfId="0" applyNumberFormat="1" applyFont="1" applyBorder="1" applyAlignment="1">
      <alignment horizontal="center"/>
    </xf>
    <xf numFmtId="164" fontId="0" fillId="0" borderId="8" xfId="0" applyNumberFormat="1" applyFont="1" applyBorder="1" applyAlignment="1">
      <alignment horizontal="center"/>
    </xf>
    <xf numFmtId="0" fontId="0" fillId="0" borderId="3" xfId="0" applyBorder="1" applyAlignment="1">
      <alignment vertical="center"/>
    </xf>
    <xf numFmtId="0" fontId="0" fillId="0" borderId="0" xfId="0" applyBorder="1"/>
    <xf numFmtId="2" fontId="0" fillId="0" borderId="0" xfId="0" applyNumberFormat="1" applyBorder="1"/>
    <xf numFmtId="164" fontId="0" fillId="0" borderId="4" xfId="0" applyNumberFormat="1" applyBorder="1"/>
    <xf numFmtId="0" fontId="0" fillId="0" borderId="5" xfId="0" applyBorder="1" applyAlignment="1">
      <alignment vertical="center"/>
    </xf>
    <xf numFmtId="0" fontId="0" fillId="0" borderId="21" xfId="0" applyBorder="1"/>
    <xf numFmtId="2" fontId="0" fillId="0" borderId="21" xfId="0" applyNumberFormat="1" applyBorder="1"/>
    <xf numFmtId="164" fontId="0" fillId="0" borderId="6" xfId="0" applyNumberFormat="1" applyBorder="1"/>
    <xf numFmtId="0" fontId="0" fillId="0" borderId="1" xfId="0" applyBorder="1" applyAlignment="1">
      <alignment vertical="center"/>
    </xf>
    <xf numFmtId="0" fontId="0" fillId="0" borderId="20" xfId="0" applyBorder="1"/>
    <xf numFmtId="2" fontId="0" fillId="0" borderId="20" xfId="0" applyNumberFormat="1" applyBorder="1"/>
    <xf numFmtId="164" fontId="0" fillId="0" borderId="2" xfId="0" applyNumberFormat="1" applyBorder="1"/>
    <xf numFmtId="164" fontId="0" fillId="0" borderId="8" xfId="0" applyNumberFormat="1" applyBorder="1"/>
    <xf numFmtId="0" fontId="0" fillId="0" borderId="0" xfId="0" applyFont="1" applyFill="1" applyBorder="1" applyAlignment="1">
      <alignment horizontal="center"/>
    </xf>
    <xf numFmtId="0" fontId="0" fillId="0" borderId="4" xfId="0" applyBorder="1"/>
    <xf numFmtId="0" fontId="2" fillId="0" borderId="21" xfId="0" applyFont="1" applyBorder="1"/>
    <xf numFmtId="0" fontId="0" fillId="0" borderId="29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30" xfId="0" applyBorder="1" applyAlignment="1">
      <alignment horizontal="center"/>
    </xf>
    <xf numFmtId="2" fontId="0" fillId="0" borderId="30" xfId="0" applyNumberFormat="1" applyBorder="1" applyAlignment="1">
      <alignment horizontal="center"/>
    </xf>
    <xf numFmtId="0" fontId="3" fillId="0" borderId="28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shrinkToFit="1"/>
    </xf>
    <xf numFmtId="0" fontId="4" fillId="0" borderId="2" xfId="0" applyFont="1" applyBorder="1" applyAlignment="1">
      <alignment horizontal="center"/>
    </xf>
    <xf numFmtId="0" fontId="4" fillId="3" borderId="18" xfId="0" applyFont="1" applyFill="1" applyBorder="1" applyAlignment="1">
      <alignment horizontal="center"/>
    </xf>
    <xf numFmtId="0" fontId="3" fillId="3" borderId="19" xfId="0" applyFont="1" applyFill="1" applyBorder="1" applyAlignment="1">
      <alignment horizontal="center"/>
    </xf>
    <xf numFmtId="164" fontId="0" fillId="3" borderId="30" xfId="0" applyNumberFormat="1" applyFill="1" applyBorder="1" applyAlignment="1">
      <alignment horizontal="center"/>
    </xf>
    <xf numFmtId="164" fontId="0" fillId="0" borderId="17" xfId="0" applyNumberForma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wrapText="1"/>
    </xf>
    <xf numFmtId="0" fontId="3" fillId="0" borderId="21" xfId="0" applyFont="1" applyBorder="1" applyAlignment="1">
      <alignment horizontal="center" wrapText="1"/>
    </xf>
    <xf numFmtId="0" fontId="3" fillId="0" borderId="2" xfId="0" applyFont="1" applyBorder="1" applyAlignment="1">
      <alignment horizontal="center" wrapText="1"/>
    </xf>
    <xf numFmtId="0" fontId="3" fillId="0" borderId="6" xfId="0" applyFont="1" applyBorder="1" applyAlignment="1">
      <alignment horizontal="center" wrapText="1"/>
    </xf>
    <xf numFmtId="0" fontId="0" fillId="0" borderId="0" xfId="0" applyAlignment="1">
      <alignment horizontal="left" wrapText="1"/>
    </xf>
    <xf numFmtId="0" fontId="3" fillId="0" borderId="3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wrapText="1"/>
    </xf>
    <xf numFmtId="0" fontId="3" fillId="0" borderId="4" xfId="0" applyFont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Hidrogram oticaja sa slivova</a:t>
            </a:r>
            <a:r>
              <a:rPr lang="en-US" baseline="0"/>
              <a:t> 1 i 2 i ukupni hidrogram oticaja</a:t>
            </a:r>
            <a:endParaRPr lang="en-US"/>
          </a:p>
        </c:rich>
      </c:tx>
      <c:layout/>
    </c:title>
    <c:plotArea>
      <c:layout>
        <c:manualLayout>
          <c:layoutTarget val="inner"/>
          <c:xMode val="edge"/>
          <c:yMode val="edge"/>
          <c:x val="0.11156052248876551"/>
          <c:y val="0.20716528242188922"/>
          <c:w val="0.85279337586961368"/>
          <c:h val="0.58104425987847463"/>
        </c:manualLayout>
      </c:layout>
      <c:scatterChart>
        <c:scatterStyle val="lineMarker"/>
        <c:ser>
          <c:idx val="0"/>
          <c:order val="0"/>
          <c:tx>
            <c:v>Sliv 1</c:v>
          </c:tx>
          <c:spPr>
            <a:ln w="2222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Sheet1!$A$27:$D$27</c:f>
              <c:numCache>
                <c:formatCode>General</c:formatCode>
                <c:ptCount val="4"/>
                <c:pt idx="0">
                  <c:v>0</c:v>
                </c:pt>
                <c:pt idx="1">
                  <c:v>10</c:v>
                </c:pt>
                <c:pt idx="2">
                  <c:v>15</c:v>
                </c:pt>
                <c:pt idx="3">
                  <c:v>25</c:v>
                </c:pt>
              </c:numCache>
            </c:numRef>
          </c:xVal>
          <c:yVal>
            <c:numRef>
              <c:f>Sheet1!$A$28:$D$28</c:f>
              <c:numCache>
                <c:formatCode>General</c:formatCode>
                <c:ptCount val="4"/>
                <c:pt idx="0">
                  <c:v>0</c:v>
                </c:pt>
                <c:pt idx="1">
                  <c:v>13.333333333333334</c:v>
                </c:pt>
                <c:pt idx="2">
                  <c:v>13.333333333333334</c:v>
                </c:pt>
                <c:pt idx="3">
                  <c:v>0</c:v>
                </c:pt>
              </c:numCache>
            </c:numRef>
          </c:yVal>
        </c:ser>
        <c:ser>
          <c:idx val="1"/>
          <c:order val="1"/>
          <c:tx>
            <c:v>Sliv 2</c:v>
          </c:tx>
          <c:spPr>
            <a:ln w="22225">
              <a:solidFill>
                <a:schemeClr val="tx1"/>
              </a:solidFill>
              <a:prstDash val="sysDash"/>
            </a:ln>
          </c:spPr>
          <c:marker>
            <c:symbol val="none"/>
          </c:marker>
          <c:xVal>
            <c:numRef>
              <c:f>Sheet1!$A$29:$D$29</c:f>
              <c:numCache>
                <c:formatCode>General</c:formatCode>
                <c:ptCount val="4"/>
                <c:pt idx="0">
                  <c:v>0</c:v>
                </c:pt>
                <c:pt idx="1">
                  <c:v>15</c:v>
                </c:pt>
                <c:pt idx="2">
                  <c:v>20</c:v>
                </c:pt>
                <c:pt idx="3">
                  <c:v>35</c:v>
                </c:pt>
              </c:numCache>
            </c:numRef>
          </c:xVal>
          <c:yVal>
            <c:numRef>
              <c:f>Sheet1!$A$30:$D$30</c:f>
              <c:numCache>
                <c:formatCode>General</c:formatCode>
                <c:ptCount val="4"/>
                <c:pt idx="0">
                  <c:v>0</c:v>
                </c:pt>
                <c:pt idx="1">
                  <c:v>16</c:v>
                </c:pt>
                <c:pt idx="2">
                  <c:v>16</c:v>
                </c:pt>
                <c:pt idx="3">
                  <c:v>0</c:v>
                </c:pt>
              </c:numCache>
            </c:numRef>
          </c:yVal>
        </c:ser>
        <c:ser>
          <c:idx val="2"/>
          <c:order val="2"/>
          <c:tx>
            <c:v>Dotok u slivnik</c:v>
          </c:tx>
          <c:spPr>
            <a:ln w="22225">
              <a:solidFill>
                <a:sysClr val="windowText" lastClr="000000"/>
              </a:solidFill>
              <a:prstDash val="dashDot"/>
            </a:ln>
          </c:spPr>
          <c:marker>
            <c:symbol val="none"/>
          </c:marker>
          <c:xVal>
            <c:numRef>
              <c:f>Sheet1!$B$21:$I$21</c:f>
              <c:numCache>
                <c:formatCode>General</c:formatCode>
                <c:ptCount val="8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</c:numCache>
            </c:numRef>
          </c:xVal>
          <c:yVal>
            <c:numRef>
              <c:f>Sheet1!$B$22:$I$22</c:f>
              <c:numCache>
                <c:formatCode>0.0</c:formatCode>
                <c:ptCount val="8"/>
                <c:pt idx="0" formatCode="0">
                  <c:v>0</c:v>
                </c:pt>
                <c:pt idx="1">
                  <c:v>12</c:v>
                </c:pt>
                <c:pt idx="2">
                  <c:v>24</c:v>
                </c:pt>
                <c:pt idx="3">
                  <c:v>29.333333333333336</c:v>
                </c:pt>
                <c:pt idx="4">
                  <c:v>22.666666666666668</c:v>
                </c:pt>
                <c:pt idx="5">
                  <c:v>10.666666666666666</c:v>
                </c:pt>
                <c:pt idx="6">
                  <c:v>5.333333333333333</c:v>
                </c:pt>
                <c:pt idx="7" formatCode="0">
                  <c:v>0</c:v>
                </c:pt>
              </c:numCache>
            </c:numRef>
          </c:yVal>
        </c:ser>
        <c:axId val="61670528"/>
        <c:axId val="61672832"/>
      </c:scatterChart>
      <c:valAx>
        <c:axId val="61670528"/>
        <c:scaling>
          <c:orientation val="minMax"/>
        </c:scaling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 [min]</a:t>
                </a:r>
              </a:p>
            </c:rich>
          </c:tx>
          <c:layout/>
        </c:title>
        <c:numFmt formatCode="General" sourceLinked="1"/>
        <c:majorTickMark val="none"/>
        <c:tickLblPos val="nextTo"/>
        <c:crossAx val="61672832"/>
        <c:crosses val="autoZero"/>
        <c:crossBetween val="midCat"/>
      </c:valAx>
      <c:valAx>
        <c:axId val="61672832"/>
        <c:scaling>
          <c:orientation val="minMax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Q</a:t>
                </a:r>
                <a:r>
                  <a:rPr lang="en-US" baseline="0"/>
                  <a:t> [l/s]</a:t>
                </a:r>
                <a:endParaRPr lang="en-US"/>
              </a:p>
            </c:rich>
          </c:tx>
          <c:layout/>
        </c:title>
        <c:numFmt formatCode="General" sourceLinked="1"/>
        <c:majorTickMark val="none"/>
        <c:tickLblPos val="nextTo"/>
        <c:crossAx val="61670528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67827011141011284"/>
          <c:y val="0.29293748117550888"/>
          <c:w val="0.24097615085967841"/>
          <c:h val="0.20182188185380939"/>
        </c:manualLayout>
      </c:layout>
      <c:spPr>
        <a:solidFill>
          <a:schemeClr val="bg1"/>
        </a:solidFill>
        <a:ln>
          <a:solidFill>
            <a:schemeClr val="tx1"/>
          </a:solidFill>
        </a:ln>
      </c:spPr>
    </c:legend>
    <c:plotVisOnly val="1"/>
  </c:chart>
  <c:spPr>
    <a:ln>
      <a:solidFill>
        <a:schemeClr val="tx1"/>
      </a:solidFill>
    </a:ln>
  </c:spPr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Hijetogram pale </a:t>
            </a:r>
            <a:r>
              <a:rPr lang="sr-Latn-CS"/>
              <a:t>kiše</a:t>
            </a:r>
            <a:endParaRPr lang="en-US"/>
          </a:p>
        </c:rich>
      </c:tx>
      <c:layout/>
    </c:title>
    <c:plotArea>
      <c:layout/>
      <c:scatterChart>
        <c:scatterStyle val="lineMarker"/>
        <c:ser>
          <c:idx val="0"/>
          <c:order val="0"/>
          <c:tx>
            <c:v>1</c:v>
          </c:tx>
          <c:spPr>
            <a:ln w="2222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Sheet1!$E$8:$G$8</c:f>
              <c:numCache>
                <c:formatCode>General</c:formatCode>
                <c:ptCount val="3"/>
                <c:pt idx="0">
                  <c:v>0</c:v>
                </c:pt>
                <c:pt idx="1">
                  <c:v>15</c:v>
                </c:pt>
                <c:pt idx="2">
                  <c:v>15</c:v>
                </c:pt>
              </c:numCache>
            </c:numRef>
          </c:xVal>
          <c:yVal>
            <c:numRef>
              <c:f>Sheet1!$E$9:$G$9</c:f>
              <c:numCache>
                <c:formatCode>General</c:formatCode>
                <c:ptCount val="3"/>
                <c:pt idx="0">
                  <c:v>0.8</c:v>
                </c:pt>
                <c:pt idx="1">
                  <c:v>0.8</c:v>
                </c:pt>
                <c:pt idx="2">
                  <c:v>0</c:v>
                </c:pt>
              </c:numCache>
            </c:numRef>
          </c:yVal>
        </c:ser>
        <c:ser>
          <c:idx val="1"/>
          <c:order val="1"/>
          <c:tx>
            <c:v>2</c:v>
          </c:tx>
          <c:spPr>
            <a:ln w="22225">
              <a:solidFill>
                <a:schemeClr val="tx1"/>
              </a:solidFill>
              <a:prstDash val="sysDash"/>
            </a:ln>
          </c:spPr>
          <c:marker>
            <c:symbol val="none"/>
          </c:marker>
          <c:xVal>
            <c:numRef>
              <c:f>Sheet1!$A$8:$C$8</c:f>
              <c:numCache>
                <c:formatCode>General</c:formatCode>
                <c:ptCount val="3"/>
                <c:pt idx="0">
                  <c:v>0</c:v>
                </c:pt>
                <c:pt idx="1">
                  <c:v>10</c:v>
                </c:pt>
                <c:pt idx="2">
                  <c:v>10</c:v>
                </c:pt>
              </c:numCache>
            </c:numRef>
          </c:xVal>
          <c:yVal>
            <c:numRef>
              <c:f>Sheet1!$A$9:$C$9</c:f>
              <c:numCache>
                <c:formatCode>General</c:formatCode>
                <c:ptCount val="3"/>
                <c:pt idx="0">
                  <c:v>0.8</c:v>
                </c:pt>
                <c:pt idx="1">
                  <c:v>0.8</c:v>
                </c:pt>
                <c:pt idx="2">
                  <c:v>0</c:v>
                </c:pt>
              </c:numCache>
            </c:numRef>
          </c:yVal>
        </c:ser>
        <c:ser>
          <c:idx val="2"/>
          <c:order val="2"/>
          <c:tx>
            <c:v>3</c:v>
          </c:tx>
          <c:spPr>
            <a:ln w="22225">
              <a:solidFill>
                <a:schemeClr val="tx1"/>
              </a:solidFill>
              <a:prstDash val="sysDot"/>
            </a:ln>
          </c:spPr>
          <c:marker>
            <c:symbol val="none"/>
          </c:marker>
          <c:xVal>
            <c:numRef>
              <c:f>Sheet1!$A$11:$C$11</c:f>
              <c:numCache>
                <c:formatCode>General</c:formatCode>
                <c:ptCount val="3"/>
                <c:pt idx="0">
                  <c:v>0</c:v>
                </c:pt>
                <c:pt idx="1">
                  <c:v>20</c:v>
                </c:pt>
                <c:pt idx="2">
                  <c:v>20</c:v>
                </c:pt>
              </c:numCache>
            </c:numRef>
          </c:xVal>
          <c:yVal>
            <c:numRef>
              <c:f>Sheet1!$A$12:$C$12</c:f>
              <c:numCache>
                <c:formatCode>General</c:formatCode>
                <c:ptCount val="3"/>
                <c:pt idx="0">
                  <c:v>0.8</c:v>
                </c:pt>
                <c:pt idx="1">
                  <c:v>0.8</c:v>
                </c:pt>
                <c:pt idx="2">
                  <c:v>0</c:v>
                </c:pt>
              </c:numCache>
            </c:numRef>
          </c:yVal>
        </c:ser>
        <c:axId val="84785408"/>
        <c:axId val="50602752"/>
      </c:scatterChart>
      <c:valAx>
        <c:axId val="8478540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 [min]</a:t>
                </a:r>
              </a:p>
            </c:rich>
          </c:tx>
          <c:layout/>
        </c:title>
        <c:numFmt formatCode="General" sourceLinked="1"/>
        <c:majorTickMark val="none"/>
        <c:tickLblPos val="nextTo"/>
        <c:crossAx val="50602752"/>
        <c:crosses val="autoZero"/>
        <c:crossBetween val="midCat"/>
      </c:valAx>
      <c:valAx>
        <c:axId val="50602752"/>
        <c:scaling>
          <c:orientation val="minMax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i</a:t>
                </a:r>
                <a:r>
                  <a:rPr lang="en-US" baseline="0"/>
                  <a:t> [mm/min]</a:t>
                </a:r>
                <a:endParaRPr lang="en-US"/>
              </a:p>
            </c:rich>
          </c:tx>
          <c:layout/>
        </c:title>
        <c:numFmt formatCode="General" sourceLinked="1"/>
        <c:majorTickMark val="none"/>
        <c:tickLblPos val="nextTo"/>
        <c:crossAx val="84785408"/>
        <c:crosses val="autoZero"/>
        <c:crossBetween val="midCat"/>
      </c:valAx>
      <c:spPr>
        <a:ln>
          <a:solidFill>
            <a:schemeClr val="lt1">
              <a:shade val="50000"/>
            </a:schemeClr>
          </a:solidFill>
        </a:ln>
      </c:spPr>
    </c:plotArea>
    <c:plotVisOnly val="1"/>
  </c:chart>
  <c:spPr>
    <a:ln>
      <a:solidFill>
        <a:schemeClr val="tx1"/>
      </a:solidFill>
    </a:ln>
  </c:spPr>
  <c:printSettings>
    <c:headerFooter/>
    <c:pageMargins b="0.25" l="1" r="0.25" t="0.25" header="0.30000000000000027" footer="0"/>
    <c:pageSetup paperSize="9" orientation="landscape" horizontalDpi="300" verticalDpi="300" copies="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Hidrogrami oticaja sa podsliva</a:t>
            </a:r>
            <a:r>
              <a:rPr lang="en-US" baseline="0"/>
              <a:t> 2 za razli</a:t>
            </a:r>
            <a:r>
              <a:rPr lang="sr-Latn-CS" baseline="0"/>
              <a:t>čita trajanja kiše</a:t>
            </a:r>
            <a:endParaRPr lang="en-US"/>
          </a:p>
        </c:rich>
      </c:tx>
      <c:layout/>
    </c:title>
    <c:plotArea>
      <c:layout>
        <c:manualLayout>
          <c:layoutTarget val="inner"/>
          <c:xMode val="edge"/>
          <c:yMode val="edge"/>
          <c:x val="8.9098137344231013E-2"/>
          <c:y val="0.22581120673869251"/>
          <c:w val="0.87374013481475465"/>
          <c:h val="0.63029390221571191"/>
        </c:manualLayout>
      </c:layout>
      <c:scatterChart>
        <c:scatterStyle val="lineMarker"/>
        <c:ser>
          <c:idx val="0"/>
          <c:order val="0"/>
          <c:tx>
            <c:v>tc=10 min, tk=5 min</c:v>
          </c:tx>
          <c:spPr>
            <a:ln w="2222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Sheet1!$K$15:$N$15</c:f>
              <c:numCache>
                <c:formatCode>General</c:formatCode>
                <c:ptCount val="4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</c:numCache>
            </c:numRef>
          </c:xVal>
          <c:yVal>
            <c:numRef>
              <c:f>Sheet1!$K$16:$N$16</c:f>
              <c:numCache>
                <c:formatCode>General</c:formatCode>
                <c:ptCount val="4"/>
                <c:pt idx="0">
                  <c:v>0</c:v>
                </c:pt>
                <c:pt idx="1">
                  <c:v>122.80718142451879</c:v>
                </c:pt>
                <c:pt idx="2">
                  <c:v>122.80718142451879</c:v>
                </c:pt>
                <c:pt idx="3">
                  <c:v>0</c:v>
                </c:pt>
              </c:numCache>
            </c:numRef>
          </c:yVal>
        </c:ser>
        <c:ser>
          <c:idx val="1"/>
          <c:order val="1"/>
          <c:tx>
            <c:v>tc=tk=10 min</c:v>
          </c:tx>
          <c:spPr>
            <a:ln w="22225">
              <a:solidFill>
                <a:schemeClr val="tx1"/>
              </a:solidFill>
              <a:prstDash val="sysDash"/>
            </a:ln>
          </c:spPr>
          <c:marker>
            <c:symbol val="none"/>
          </c:marker>
          <c:xVal>
            <c:numRef>
              <c:f>Sheet1!$J$18:$L$18</c:f>
              <c:numCache>
                <c:formatCode>General</c:formatCode>
                <c:ptCount val="3"/>
                <c:pt idx="0">
                  <c:v>0</c:v>
                </c:pt>
                <c:pt idx="1">
                  <c:v>10</c:v>
                </c:pt>
                <c:pt idx="2">
                  <c:v>20</c:v>
                </c:pt>
              </c:numCache>
            </c:numRef>
          </c:xVal>
          <c:yVal>
            <c:numRef>
              <c:f>Sheet1!$J$19:$L$19</c:f>
              <c:numCache>
                <c:formatCode>General</c:formatCode>
                <c:ptCount val="3"/>
                <c:pt idx="0">
                  <c:v>0</c:v>
                </c:pt>
                <c:pt idx="1">
                  <c:v>212.42323273430279</c:v>
                </c:pt>
                <c:pt idx="2">
                  <c:v>0</c:v>
                </c:pt>
              </c:numCache>
            </c:numRef>
          </c:yVal>
        </c:ser>
        <c:ser>
          <c:idx val="2"/>
          <c:order val="2"/>
          <c:tx>
            <c:v>tc=10 min, tk=15 min</c:v>
          </c:tx>
          <c:spPr>
            <a:ln w="22225">
              <a:solidFill>
                <a:sysClr val="windowText" lastClr="000000"/>
              </a:solidFill>
              <a:prstDash val="dashDot"/>
            </a:ln>
          </c:spPr>
          <c:marker>
            <c:symbol val="none"/>
          </c:marker>
          <c:xVal>
            <c:numRef>
              <c:f>Sheet1!$N$18:$Q$18</c:f>
              <c:numCache>
                <c:formatCode>General</c:formatCode>
                <c:ptCount val="4"/>
                <c:pt idx="0">
                  <c:v>0</c:v>
                </c:pt>
                <c:pt idx="1">
                  <c:v>10</c:v>
                </c:pt>
                <c:pt idx="2">
                  <c:v>15</c:v>
                </c:pt>
                <c:pt idx="3">
                  <c:v>25</c:v>
                </c:pt>
              </c:numCache>
            </c:numRef>
          </c:xVal>
          <c:yVal>
            <c:numRef>
              <c:f>Sheet1!$N$19:$Q$19</c:f>
              <c:numCache>
                <c:formatCode>General</c:formatCode>
                <c:ptCount val="4"/>
                <c:pt idx="0">
                  <c:v>0</c:v>
                </c:pt>
                <c:pt idx="1">
                  <c:v>187.13475264688574</c:v>
                </c:pt>
                <c:pt idx="2">
                  <c:v>187.13475264688574</c:v>
                </c:pt>
                <c:pt idx="3">
                  <c:v>0</c:v>
                </c:pt>
              </c:numCache>
            </c:numRef>
          </c:yVal>
        </c:ser>
        <c:axId val="50690688"/>
        <c:axId val="50709248"/>
      </c:scatterChart>
      <c:valAx>
        <c:axId val="50690688"/>
        <c:scaling>
          <c:orientation val="minMax"/>
        </c:scaling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 [min]</a:t>
                </a:r>
              </a:p>
            </c:rich>
          </c:tx>
          <c:layout/>
        </c:title>
        <c:numFmt formatCode="General" sourceLinked="1"/>
        <c:majorTickMark val="none"/>
        <c:tickLblPos val="nextTo"/>
        <c:crossAx val="50709248"/>
        <c:crosses val="autoZero"/>
        <c:crossBetween val="midCat"/>
      </c:valAx>
      <c:valAx>
        <c:axId val="50709248"/>
        <c:scaling>
          <c:orientation val="minMax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Q [l/s]</a:t>
                </a:r>
              </a:p>
            </c:rich>
          </c:tx>
          <c:layout/>
        </c:title>
        <c:numFmt formatCode="General" sourceLinked="1"/>
        <c:majorTickMark val="none"/>
        <c:tickLblPos val="nextTo"/>
        <c:crossAx val="50690688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67283822682786454"/>
          <c:y val="0.30777513275956786"/>
          <c:w val="0.27972835314091682"/>
          <c:h val="0.20965696679219456"/>
        </c:manualLayout>
      </c:layout>
      <c:spPr>
        <a:solidFill>
          <a:schemeClr val="bg1"/>
        </a:solidFill>
        <a:ln>
          <a:solidFill>
            <a:schemeClr val="tx1"/>
          </a:solidFill>
        </a:ln>
      </c:spPr>
    </c:legend>
    <c:plotVisOnly val="1"/>
  </c:chart>
  <c:spPr>
    <a:ln>
      <a:solidFill>
        <a:schemeClr val="tx1"/>
      </a:solidFill>
    </a:ln>
  </c:spPr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 algn="ctr">
              <a:defRPr/>
            </a:pPr>
            <a:r>
              <a:rPr lang="en-US" sz="1800" b="1" i="0" baseline="0"/>
              <a:t>Hidrogrami oticaja sa podsliva 1 za razli</a:t>
            </a:r>
            <a:r>
              <a:rPr lang="sr-Latn-CS" sz="1800" b="1" i="0" baseline="0"/>
              <a:t>čita trajanja kiše</a:t>
            </a:r>
            <a:endParaRPr lang="en-US" sz="1800" b="1" i="0" baseline="0"/>
          </a:p>
        </c:rich>
      </c:tx>
      <c:layout/>
    </c:title>
    <c:plotArea>
      <c:layout>
        <c:manualLayout>
          <c:layoutTarget val="inner"/>
          <c:xMode val="edge"/>
          <c:yMode val="edge"/>
          <c:x val="0.10172551601781493"/>
          <c:y val="0.18454700854700878"/>
          <c:w val="0.86087172030325521"/>
          <c:h val="0.63528312807052967"/>
        </c:manualLayout>
      </c:layout>
      <c:scatterChart>
        <c:scatterStyle val="lineMarker"/>
        <c:ser>
          <c:idx val="0"/>
          <c:order val="0"/>
          <c:tx>
            <c:v>tc=5 min, tk=5 min</c:v>
          </c:tx>
          <c:spPr>
            <a:ln w="2222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Sheet1!$J$63:$L$63</c:f>
              <c:numCache>
                <c:formatCode>General</c:formatCode>
                <c:ptCount val="3"/>
                <c:pt idx="0">
                  <c:v>0</c:v>
                </c:pt>
                <c:pt idx="1">
                  <c:v>5</c:v>
                </c:pt>
                <c:pt idx="2">
                  <c:v>10</c:v>
                </c:pt>
              </c:numCache>
            </c:numRef>
          </c:xVal>
          <c:yVal>
            <c:numRef>
              <c:f>Sheet1!$J$64:$L$64</c:f>
              <c:numCache>
                <c:formatCode>0.0</c:formatCode>
                <c:ptCount val="3"/>
                <c:pt idx="0" formatCode="General">
                  <c:v>0</c:v>
                </c:pt>
                <c:pt idx="1">
                  <c:v>135.08789956697063</c:v>
                </c:pt>
                <c:pt idx="2" formatCode="General">
                  <c:v>0</c:v>
                </c:pt>
              </c:numCache>
            </c:numRef>
          </c:yVal>
        </c:ser>
        <c:ser>
          <c:idx val="1"/>
          <c:order val="1"/>
          <c:tx>
            <c:v>tc=5 min, tk=10 min</c:v>
          </c:tx>
          <c:spPr>
            <a:ln w="22225">
              <a:solidFill>
                <a:sysClr val="windowText" lastClr="000000"/>
              </a:solidFill>
              <a:prstDash val="sysDash"/>
            </a:ln>
          </c:spPr>
          <c:marker>
            <c:symbol val="none"/>
          </c:marker>
          <c:xVal>
            <c:numRef>
              <c:f>Sheet1!$J$66:$M$66</c:f>
              <c:numCache>
                <c:formatCode>General</c:formatCode>
                <c:ptCount val="4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</c:numCache>
            </c:numRef>
          </c:xVal>
          <c:yVal>
            <c:numRef>
              <c:f>Sheet1!$J$67:$M$67</c:f>
              <c:numCache>
                <c:formatCode>0.0</c:formatCode>
                <c:ptCount val="4"/>
                <c:pt idx="0" formatCode="General">
                  <c:v>0</c:v>
                </c:pt>
                <c:pt idx="1">
                  <c:v>116.83277800386649</c:v>
                </c:pt>
                <c:pt idx="2">
                  <c:v>116.83277800386649</c:v>
                </c:pt>
                <c:pt idx="3" formatCode="General">
                  <c:v>0</c:v>
                </c:pt>
              </c:numCache>
            </c:numRef>
          </c:yVal>
        </c:ser>
        <c:ser>
          <c:idx val="2"/>
          <c:order val="2"/>
          <c:tx>
            <c:v>tc=10 min, tk=15 min</c:v>
          </c:tx>
          <c:spPr>
            <a:ln w="22225">
              <a:solidFill>
                <a:sysClr val="windowText" lastClr="000000"/>
              </a:solidFill>
              <a:prstDash val="dashDot"/>
            </a:ln>
          </c:spPr>
          <c:marker>
            <c:symbol val="none"/>
          </c:marker>
          <c:xVal>
            <c:numRef>
              <c:f>Sheet1!$J$69:$M$69</c:f>
              <c:numCache>
                <c:formatCode>General</c:formatCode>
                <c:ptCount val="4"/>
                <c:pt idx="0">
                  <c:v>0</c:v>
                </c:pt>
                <c:pt idx="1">
                  <c:v>5</c:v>
                </c:pt>
                <c:pt idx="2">
                  <c:v>15</c:v>
                </c:pt>
                <c:pt idx="3">
                  <c:v>20</c:v>
                </c:pt>
              </c:numCache>
            </c:numRef>
          </c:xVal>
          <c:yVal>
            <c:numRef>
              <c:f>Sheet1!$J$70:$M$70</c:f>
              <c:numCache>
                <c:formatCode>0.0</c:formatCode>
                <c:ptCount val="4"/>
                <c:pt idx="0" formatCode="General">
                  <c:v>0</c:v>
                </c:pt>
                <c:pt idx="1">
                  <c:v>102.92411395578713</c:v>
                </c:pt>
                <c:pt idx="2">
                  <c:v>102.92411395578713</c:v>
                </c:pt>
                <c:pt idx="3" formatCode="General">
                  <c:v>0</c:v>
                </c:pt>
              </c:numCache>
            </c:numRef>
          </c:yVal>
        </c:ser>
        <c:axId val="50759936"/>
        <c:axId val="50762112"/>
      </c:scatterChart>
      <c:valAx>
        <c:axId val="50759936"/>
        <c:scaling>
          <c:orientation val="minMax"/>
        </c:scaling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 [min]</a:t>
                </a:r>
              </a:p>
            </c:rich>
          </c:tx>
          <c:layout/>
        </c:title>
        <c:numFmt formatCode="General" sourceLinked="1"/>
        <c:majorTickMark val="none"/>
        <c:tickLblPos val="nextTo"/>
        <c:crossAx val="50762112"/>
        <c:crosses val="autoZero"/>
        <c:crossBetween val="midCat"/>
      </c:valAx>
      <c:valAx>
        <c:axId val="50762112"/>
        <c:scaling>
          <c:orientation val="minMax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Q [l/s]</a:t>
                </a:r>
              </a:p>
            </c:rich>
          </c:tx>
          <c:layout/>
        </c:title>
        <c:numFmt formatCode="General" sourceLinked="1"/>
        <c:majorTickMark val="none"/>
        <c:tickLblPos val="nextTo"/>
        <c:crossAx val="50759936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67231126596980262"/>
          <c:y val="0.22427565785046108"/>
          <c:w val="0.2821232876712329"/>
          <c:h val="0.18499144128723072"/>
        </c:manualLayout>
      </c:layout>
      <c:spPr>
        <a:solidFill>
          <a:sysClr val="window" lastClr="FFFFFF"/>
        </a:solidFill>
        <a:ln>
          <a:solidFill>
            <a:sysClr val="windowText" lastClr="000000"/>
          </a:solidFill>
        </a:ln>
      </c:spPr>
    </c:legend>
    <c:plotVisOnly val="1"/>
  </c:chart>
  <c:spPr>
    <a:ln>
      <a:solidFill>
        <a:sysClr val="windowText" lastClr="000000"/>
      </a:solidFill>
    </a:ln>
  </c:spPr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57149</xdr:colOff>
      <xdr:row>22</xdr:row>
      <xdr:rowOff>123825</xdr:rowOff>
    </xdr:from>
    <xdr:to>
      <xdr:col>8</xdr:col>
      <xdr:colOff>419100</xdr:colOff>
      <xdr:row>40</xdr:row>
      <xdr:rowOff>171450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57150</xdr:colOff>
      <xdr:row>6</xdr:row>
      <xdr:rowOff>76199</xdr:rowOff>
    </xdr:from>
    <xdr:to>
      <xdr:col>8</xdr:col>
      <xdr:colOff>400050</xdr:colOff>
      <xdr:row>17</xdr:row>
      <xdr:rowOff>38100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285750</xdr:colOff>
      <xdr:row>9</xdr:row>
      <xdr:rowOff>9525</xdr:rowOff>
    </xdr:from>
    <xdr:to>
      <xdr:col>4</xdr:col>
      <xdr:colOff>38100</xdr:colOff>
      <xdr:row>9</xdr:row>
      <xdr:rowOff>180975</xdr:rowOff>
    </xdr:to>
    <xdr:sp macro="" textlink="">
      <xdr:nvSpPr>
        <xdr:cNvPr id="6" name="TextBox 5"/>
        <xdr:cNvSpPr txBox="1"/>
      </xdr:nvSpPr>
      <xdr:spPr>
        <a:xfrm>
          <a:off x="2438400" y="1819275"/>
          <a:ext cx="361950" cy="1714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/>
        <a:p>
          <a:r>
            <a:rPr lang="en-US" sz="1100"/>
            <a:t>tc1</a:t>
          </a:r>
        </a:p>
      </xdr:txBody>
    </xdr:sp>
    <xdr:clientData/>
  </xdr:twoCellAnchor>
  <xdr:twoCellAnchor>
    <xdr:from>
      <xdr:col>5</xdr:col>
      <xdr:colOff>19050</xdr:colOff>
      <xdr:row>8</xdr:row>
      <xdr:rowOff>161925</xdr:rowOff>
    </xdr:from>
    <xdr:to>
      <xdr:col>5</xdr:col>
      <xdr:colOff>476250</xdr:colOff>
      <xdr:row>10</xdr:row>
      <xdr:rowOff>66675</xdr:rowOff>
    </xdr:to>
    <xdr:sp macro="" textlink="">
      <xdr:nvSpPr>
        <xdr:cNvPr id="7" name="TextBox 6"/>
        <xdr:cNvSpPr txBox="1"/>
      </xdr:nvSpPr>
      <xdr:spPr>
        <a:xfrm>
          <a:off x="3390900" y="1781175"/>
          <a:ext cx="457200" cy="2857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en-US" sz="1100"/>
            <a:t>tk</a:t>
          </a:r>
        </a:p>
      </xdr:txBody>
    </xdr:sp>
    <xdr:clientData/>
  </xdr:twoCellAnchor>
  <xdr:twoCellAnchor>
    <xdr:from>
      <xdr:col>6</xdr:col>
      <xdr:colOff>304800</xdr:colOff>
      <xdr:row>8</xdr:row>
      <xdr:rowOff>161925</xdr:rowOff>
    </xdr:from>
    <xdr:to>
      <xdr:col>7</xdr:col>
      <xdr:colOff>152400</xdr:colOff>
      <xdr:row>10</xdr:row>
      <xdr:rowOff>9525</xdr:rowOff>
    </xdr:to>
    <xdr:sp macro="" textlink="">
      <xdr:nvSpPr>
        <xdr:cNvPr id="8" name="TextBox 7"/>
        <xdr:cNvSpPr txBox="1"/>
      </xdr:nvSpPr>
      <xdr:spPr>
        <a:xfrm>
          <a:off x="4286250" y="1781175"/>
          <a:ext cx="457200" cy="2286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en-US" sz="1100"/>
            <a:t>tc2</a:t>
          </a:r>
        </a:p>
      </xdr:txBody>
    </xdr:sp>
    <xdr:clientData/>
  </xdr:twoCellAnchor>
  <xdr:twoCellAnchor>
    <xdr:from>
      <xdr:col>9</xdr:col>
      <xdr:colOff>76199</xdr:colOff>
      <xdr:row>13</xdr:row>
      <xdr:rowOff>180975</xdr:rowOff>
    </xdr:from>
    <xdr:to>
      <xdr:col>17</xdr:col>
      <xdr:colOff>428624</xdr:colOff>
      <xdr:row>30</xdr:row>
      <xdr:rowOff>66675</xdr:rowOff>
    </xdr:to>
    <xdr:graphicFrame macro="">
      <xdr:nvGraphicFramePr>
        <xdr:cNvPr id="9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9</xdr:col>
      <xdr:colOff>114300</xdr:colOff>
      <xdr:row>60</xdr:row>
      <xdr:rowOff>104775</xdr:rowOff>
    </xdr:from>
    <xdr:to>
      <xdr:col>17</xdr:col>
      <xdr:colOff>419100</xdr:colOff>
      <xdr:row>80</xdr:row>
      <xdr:rowOff>9525</xdr:rowOff>
    </xdr:to>
    <xdr:graphicFrame macro="">
      <xdr:nvGraphicFramePr>
        <xdr:cNvPr id="10" name="Chart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D101"/>
  <sheetViews>
    <sheetView tabSelected="1" topLeftCell="A2" zoomScaleNormal="100" workbookViewId="0">
      <selection activeCell="G2" sqref="G2"/>
    </sheetView>
  </sheetViews>
  <sheetFormatPr defaultRowHeight="15"/>
  <cols>
    <col min="1" max="1" width="12" customWidth="1"/>
    <col min="3" max="3" width="11.140625" customWidth="1"/>
    <col min="10" max="10" width="10.5703125" customWidth="1"/>
    <col min="12" max="12" width="10" customWidth="1"/>
    <col min="13" max="13" width="10.5703125" customWidth="1"/>
    <col min="14" max="14" width="11.140625" customWidth="1"/>
    <col min="19" max="19" width="4.28515625" customWidth="1"/>
    <col min="20" max="20" width="5.140625" customWidth="1"/>
    <col min="21" max="21" width="5.7109375" customWidth="1"/>
    <col min="22" max="22" width="6.28515625" customWidth="1"/>
    <col min="23" max="23" width="6.85546875" customWidth="1"/>
    <col min="25" max="25" width="6.5703125" customWidth="1"/>
    <col min="26" max="26" width="7.42578125" customWidth="1"/>
  </cols>
  <sheetData>
    <row r="1" spans="1:30" ht="15.75" thickBot="1"/>
    <row r="2" spans="1:30" ht="16.5" thickTop="1" thickBot="1">
      <c r="A2" s="20" t="s">
        <v>0</v>
      </c>
      <c r="B2" s="1">
        <v>6</v>
      </c>
      <c r="C2" s="20" t="s">
        <v>1</v>
      </c>
      <c r="D2" s="1">
        <v>3</v>
      </c>
      <c r="E2" s="2"/>
      <c r="F2" s="2"/>
      <c r="J2" s="14" t="s">
        <v>13</v>
      </c>
      <c r="O2" s="14" t="s">
        <v>14</v>
      </c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</row>
    <row r="3" spans="1:30" ht="16.5" thickTop="1" thickBot="1">
      <c r="A3" s="2"/>
      <c r="B3" s="2"/>
      <c r="C3" s="2"/>
      <c r="D3" s="2"/>
      <c r="E3" s="2"/>
      <c r="F3" s="2"/>
      <c r="J3" s="25" t="s">
        <v>8</v>
      </c>
      <c r="K3" s="25" t="s">
        <v>9</v>
      </c>
      <c r="L3" s="25" t="s">
        <v>2</v>
      </c>
      <c r="M3" s="25" t="s">
        <v>5</v>
      </c>
      <c r="O3" s="25" t="s">
        <v>10</v>
      </c>
      <c r="P3" s="25" t="s">
        <v>11</v>
      </c>
      <c r="Q3" s="25" t="s">
        <v>12</v>
      </c>
      <c r="S3" s="56"/>
      <c r="T3" s="2"/>
      <c r="U3" s="2"/>
      <c r="V3" s="2"/>
      <c r="W3" s="2"/>
      <c r="X3" s="2"/>
      <c r="Y3" s="2"/>
      <c r="Z3" s="2"/>
      <c r="AA3" s="2"/>
      <c r="AB3" s="2"/>
      <c r="AC3" s="2"/>
      <c r="AD3" s="2"/>
    </row>
    <row r="4" spans="1:30" ht="18.75" thickTop="1">
      <c r="A4" s="21" t="s">
        <v>30</v>
      </c>
      <c r="B4" s="3">
        <v>15</v>
      </c>
      <c r="C4" s="21" t="s">
        <v>4</v>
      </c>
      <c r="D4" s="3">
        <f>2*B2</f>
        <v>12</v>
      </c>
      <c r="E4" s="21" t="s">
        <v>33</v>
      </c>
      <c r="F4" s="3">
        <f>20*50</f>
        <v>1000</v>
      </c>
      <c r="J4" s="11">
        <v>1</v>
      </c>
      <c r="K4" s="11">
        <v>0.84</v>
      </c>
      <c r="L4" s="11">
        <v>5</v>
      </c>
      <c r="M4" s="11">
        <f>0.6+0.02*D2</f>
        <v>0.65999999999999992</v>
      </c>
      <c r="O4" s="11" t="s">
        <v>15</v>
      </c>
      <c r="P4" s="11">
        <f>140+10*D2</f>
        <v>170</v>
      </c>
      <c r="Q4" s="11">
        <v>2.2999999999999998</v>
      </c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</row>
    <row r="5" spans="1:30" ht="18.75" thickBot="1">
      <c r="A5" s="22" t="s">
        <v>31</v>
      </c>
      <c r="B5" s="4">
        <v>10</v>
      </c>
      <c r="C5" s="22" t="s">
        <v>5</v>
      </c>
      <c r="D5" s="4">
        <v>1</v>
      </c>
      <c r="E5" s="23" t="s">
        <v>34</v>
      </c>
      <c r="F5" s="5">
        <f>80*20</f>
        <v>1600</v>
      </c>
      <c r="J5" s="12">
        <v>2</v>
      </c>
      <c r="K5" s="12">
        <v>1.8</v>
      </c>
      <c r="L5" s="12">
        <v>10</v>
      </c>
      <c r="M5" s="12">
        <f>0.5+0.02*D2</f>
        <v>0.56000000000000005</v>
      </c>
      <c r="O5" s="12" t="s">
        <v>16</v>
      </c>
      <c r="P5" s="12">
        <f>110+10*D2</f>
        <v>140</v>
      </c>
      <c r="Q5" s="12">
        <v>1.6</v>
      </c>
    </row>
    <row r="6" spans="1:30" ht="19.5" thickTop="1" thickBot="1">
      <c r="A6" s="23" t="s">
        <v>32</v>
      </c>
      <c r="B6" s="5">
        <v>20</v>
      </c>
      <c r="C6" s="23" t="s">
        <v>6</v>
      </c>
      <c r="D6" s="5">
        <f>D4/B4</f>
        <v>0.8</v>
      </c>
      <c r="E6" s="2"/>
      <c r="F6" s="2"/>
      <c r="J6" s="13">
        <v>3</v>
      </c>
      <c r="K6" s="13">
        <v>1.8</v>
      </c>
      <c r="L6" s="13">
        <v>10</v>
      </c>
      <c r="M6" s="13">
        <f>0.7-0.02*D2</f>
        <v>0.6399999999999999</v>
      </c>
      <c r="O6" s="13" t="s">
        <v>17</v>
      </c>
      <c r="P6" s="13">
        <f>90+10*D2</f>
        <v>120</v>
      </c>
      <c r="Q6" s="13">
        <v>1.4</v>
      </c>
    </row>
    <row r="7" spans="1:30" ht="15.75" thickTop="1"/>
    <row r="8" spans="1:30" ht="15" customHeight="1" thickBot="1">
      <c r="A8">
        <v>0</v>
      </c>
      <c r="B8">
        <f>B5</f>
        <v>10</v>
      </c>
      <c r="C8">
        <v>10</v>
      </c>
      <c r="E8">
        <v>0</v>
      </c>
      <c r="F8">
        <f>B4</f>
        <v>15</v>
      </c>
      <c r="G8">
        <f>B4</f>
        <v>15</v>
      </c>
      <c r="J8" s="14" t="s">
        <v>18</v>
      </c>
    </row>
    <row r="9" spans="1:30" ht="15.75" customHeight="1" thickTop="1">
      <c r="A9">
        <f>$D$6</f>
        <v>0.8</v>
      </c>
      <c r="B9">
        <f>$D$6</f>
        <v>0.8</v>
      </c>
      <c r="C9">
        <v>0</v>
      </c>
      <c r="E9">
        <f>$D$6</f>
        <v>0.8</v>
      </c>
      <c r="F9">
        <f>$D$6</f>
        <v>0.8</v>
      </c>
      <c r="G9">
        <v>0</v>
      </c>
      <c r="J9" s="72" t="s">
        <v>21</v>
      </c>
      <c r="K9" s="74" t="s">
        <v>3</v>
      </c>
      <c r="L9" s="76" t="s">
        <v>20</v>
      </c>
      <c r="M9" s="78" t="s">
        <v>19</v>
      </c>
    </row>
    <row r="10" spans="1:30" ht="15.75" thickBot="1">
      <c r="J10" s="73"/>
      <c r="K10" s="75"/>
      <c r="L10" s="77"/>
      <c r="M10" s="79"/>
    </row>
    <row r="11" spans="1:30" ht="15.75" thickTop="1">
      <c r="A11">
        <v>0</v>
      </c>
      <c r="B11">
        <f>B6</f>
        <v>20</v>
      </c>
      <c r="C11">
        <f>B6</f>
        <v>20</v>
      </c>
      <c r="J11" s="31">
        <v>5</v>
      </c>
      <c r="K11" s="7">
        <v>5</v>
      </c>
      <c r="L11" s="36">
        <f>35.3*(J11^0.175)/(K11+27)</f>
        <v>1.4619902550537949</v>
      </c>
      <c r="M11" s="29">
        <f>($M$5*(L11/(1000*60))*($K$5*10000)*(K11/L5))*1000</f>
        <v>122.80718142451879</v>
      </c>
    </row>
    <row r="12" spans="1:30">
      <c r="A12">
        <f>$D$6</f>
        <v>0.8</v>
      </c>
      <c r="B12">
        <f>$D$6</f>
        <v>0.8</v>
      </c>
      <c r="C12">
        <v>0</v>
      </c>
      <c r="J12" s="32">
        <v>5</v>
      </c>
      <c r="K12" s="34">
        <v>10</v>
      </c>
      <c r="L12" s="37">
        <f t="shared" ref="L12:L13" si="0">35.3*(J12^0.175)/(K12+27)</f>
        <v>1.2644240043708497</v>
      </c>
      <c r="M12" s="30">
        <f>($M$5*(L12/(1000*60))*($K$5*10000))*1000</f>
        <v>212.42323273430279</v>
      </c>
    </row>
    <row r="13" spans="1:30" ht="15.75" thickBot="1">
      <c r="J13" s="33">
        <v>5</v>
      </c>
      <c r="K13" s="35">
        <v>15</v>
      </c>
      <c r="L13" s="38">
        <f t="shared" si="0"/>
        <v>1.1138973371838436</v>
      </c>
      <c r="M13" s="28">
        <f>($M$5*(L13/(1000*60))*($K$5*10000))*1000</f>
        <v>187.13475264688574</v>
      </c>
    </row>
    <row r="14" spans="1:30" ht="15.75" thickTop="1"/>
    <row r="15" spans="1:30">
      <c r="K15" s="15">
        <v>0</v>
      </c>
      <c r="L15">
        <f>K11</f>
        <v>5</v>
      </c>
      <c r="M15">
        <f>L5</f>
        <v>10</v>
      </c>
      <c r="N15">
        <f>L15+M15</f>
        <v>15</v>
      </c>
    </row>
    <row r="16" spans="1:30">
      <c r="K16" s="15">
        <v>0</v>
      </c>
      <c r="L16">
        <f>M11</f>
        <v>122.80718142451879</v>
      </c>
      <c r="M16">
        <f>M11</f>
        <v>122.80718142451879</v>
      </c>
      <c r="N16">
        <f>0</f>
        <v>0</v>
      </c>
    </row>
    <row r="18" spans="1:17" ht="15.75" thickBot="1">
      <c r="J18" s="15">
        <v>0</v>
      </c>
      <c r="K18">
        <f>K12</f>
        <v>10</v>
      </c>
      <c r="L18">
        <v>20</v>
      </c>
      <c r="N18">
        <v>0</v>
      </c>
      <c r="O18">
        <f>L5</f>
        <v>10</v>
      </c>
      <c r="P18">
        <f>K13</f>
        <v>15</v>
      </c>
      <c r="Q18">
        <f>O18+P18</f>
        <v>25</v>
      </c>
    </row>
    <row r="19" spans="1:17" ht="19.5" thickTop="1" thickBot="1">
      <c r="A19" s="24" t="s">
        <v>35</v>
      </c>
      <c r="B19" s="17">
        <f>(D5*F4*D6/(1000*60))*1000</f>
        <v>13.333333333333334</v>
      </c>
      <c r="C19" s="24" t="s">
        <v>36</v>
      </c>
      <c r="D19" s="1">
        <f>D5*F5*D6*(B4/B6)*1000/60000</f>
        <v>16</v>
      </c>
      <c r="J19">
        <f>0</f>
        <v>0</v>
      </c>
      <c r="K19">
        <f>M12</f>
        <v>212.42323273430279</v>
      </c>
      <c r="L19">
        <v>0</v>
      </c>
      <c r="N19">
        <v>0</v>
      </c>
      <c r="O19">
        <f>M13</f>
        <v>187.13475264688574</v>
      </c>
      <c r="P19">
        <f>M13</f>
        <v>187.13475264688574</v>
      </c>
      <c r="Q19">
        <v>0</v>
      </c>
    </row>
    <row r="20" spans="1:17" ht="16.5" thickTop="1" thickBot="1"/>
    <row r="21" spans="1:17" ht="15.75" thickTop="1">
      <c r="A21" s="21" t="s">
        <v>7</v>
      </c>
      <c r="B21" s="6">
        <v>0</v>
      </c>
      <c r="C21" s="7">
        <v>5</v>
      </c>
      <c r="D21" s="7">
        <v>10</v>
      </c>
      <c r="E21" s="7">
        <v>15</v>
      </c>
      <c r="F21" s="7">
        <v>20</v>
      </c>
      <c r="G21" s="7">
        <v>25</v>
      </c>
      <c r="H21" s="7">
        <v>30</v>
      </c>
      <c r="I21" s="8">
        <v>35</v>
      </c>
    </row>
    <row r="22" spans="1:17" ht="18.75" thickBot="1">
      <c r="A22" s="23" t="s">
        <v>37</v>
      </c>
      <c r="B22" s="9">
        <v>0</v>
      </c>
      <c r="C22" s="18">
        <f>B19/2+D19/3</f>
        <v>12</v>
      </c>
      <c r="D22" s="18">
        <f>B19+2*D19/3</f>
        <v>24</v>
      </c>
      <c r="E22" s="18">
        <f>B19+D19</f>
        <v>29.333333333333336</v>
      </c>
      <c r="F22" s="18">
        <f>B19/2+D19</f>
        <v>22.666666666666668</v>
      </c>
      <c r="G22" s="18">
        <f>2*D19/3</f>
        <v>10.666666666666666</v>
      </c>
      <c r="H22" s="18">
        <f>D19/3</f>
        <v>5.333333333333333</v>
      </c>
      <c r="I22" s="10">
        <v>0</v>
      </c>
    </row>
    <row r="23" spans="1:17" ht="15.75" thickTop="1"/>
    <row r="27" spans="1:17">
      <c r="A27">
        <v>0</v>
      </c>
      <c r="B27">
        <v>10</v>
      </c>
      <c r="C27">
        <v>15</v>
      </c>
      <c r="D27">
        <v>25</v>
      </c>
    </row>
    <row r="28" spans="1:17">
      <c r="A28">
        <v>0</v>
      </c>
      <c r="B28">
        <f>B19</f>
        <v>13.333333333333334</v>
      </c>
      <c r="C28">
        <f>B19</f>
        <v>13.333333333333334</v>
      </c>
      <c r="D28">
        <v>0</v>
      </c>
    </row>
    <row r="29" spans="1:17">
      <c r="A29">
        <v>0</v>
      </c>
      <c r="B29">
        <v>15</v>
      </c>
      <c r="C29">
        <v>20</v>
      </c>
      <c r="D29">
        <v>35</v>
      </c>
    </row>
    <row r="30" spans="1:17">
      <c r="A30">
        <v>0</v>
      </c>
      <c r="B30">
        <f>D19</f>
        <v>16</v>
      </c>
      <c r="C30">
        <f>D19</f>
        <v>16</v>
      </c>
      <c r="D30">
        <v>0</v>
      </c>
    </row>
    <row r="32" spans="1:17" ht="15.75" thickBot="1"/>
    <row r="33" spans="10:16" ht="16.5" thickTop="1" thickBot="1">
      <c r="J33" t="s">
        <v>22</v>
      </c>
      <c r="O33" s="41" t="s">
        <v>23</v>
      </c>
      <c r="P33" s="42">
        <f>MAX(M11:M13)</f>
        <v>212.42323273430279</v>
      </c>
    </row>
    <row r="34" spans="10:16" ht="16.5" thickTop="1" thickBot="1"/>
    <row r="35" spans="10:16" ht="16.5" thickTop="1" thickBot="1">
      <c r="J35" s="24" t="s">
        <v>24</v>
      </c>
      <c r="K35" s="1">
        <v>1.2999999999999999E-2</v>
      </c>
      <c r="L35" s="19" t="s">
        <v>25</v>
      </c>
      <c r="M35" s="24" t="s">
        <v>26</v>
      </c>
      <c r="N35" s="17">
        <f>1000*((4^(5/3))*K35*(P33/1000)/(PI()*SQRT(Q5/100)))^(3/8)</f>
        <v>368.98890513532598</v>
      </c>
    </row>
    <row r="36" spans="10:16" ht="16.5" thickTop="1" thickBot="1"/>
    <row r="37" spans="10:16" ht="15.75" thickBot="1">
      <c r="J37" t="s">
        <v>28</v>
      </c>
      <c r="K37" s="26" t="s">
        <v>26</v>
      </c>
      <c r="L37" s="27">
        <f>ROUNDUP(N35/100,0)*100</f>
        <v>400</v>
      </c>
    </row>
    <row r="55" spans="10:13" ht="15.75" thickBot="1">
      <c r="J55" s="14" t="s">
        <v>27</v>
      </c>
    </row>
    <row r="56" spans="10:13" ht="15.75" thickTop="1">
      <c r="J56" s="72" t="s">
        <v>21</v>
      </c>
      <c r="K56" s="74" t="s">
        <v>3</v>
      </c>
      <c r="L56" s="76" t="s">
        <v>20</v>
      </c>
      <c r="M56" s="78" t="s">
        <v>19</v>
      </c>
    </row>
    <row r="57" spans="10:13" ht="15.75" thickBot="1">
      <c r="J57" s="81"/>
      <c r="K57" s="82"/>
      <c r="L57" s="83"/>
      <c r="M57" s="84"/>
    </row>
    <row r="58" spans="10:13" ht="15.75" thickTop="1">
      <c r="J58" s="51">
        <v>5</v>
      </c>
      <c r="K58" s="52">
        <v>5</v>
      </c>
      <c r="L58" s="53">
        <f>35.3*(J58^0.175)/(K58+27)</f>
        <v>1.4619902550537949</v>
      </c>
      <c r="M58" s="54">
        <f>($M$4*(L58/(1000*60))*($K$4*10000))*1000</f>
        <v>135.08789956697063</v>
      </c>
    </row>
    <row r="59" spans="10:13">
      <c r="J59" s="43">
        <v>5</v>
      </c>
      <c r="K59" s="44">
        <v>10</v>
      </c>
      <c r="L59" s="45">
        <f t="shared" ref="L59:L60" si="1">35.3*(J59^0.175)/(K59+27)</f>
        <v>1.2644240043708497</v>
      </c>
      <c r="M59" s="46">
        <f>($M$4*(L59/(1000*60))*($K$4*10000))*1000</f>
        <v>116.83277800386649</v>
      </c>
    </row>
    <row r="60" spans="10:13" ht="15.75" thickBot="1">
      <c r="J60" s="47">
        <v>5</v>
      </c>
      <c r="K60" s="48">
        <v>15</v>
      </c>
      <c r="L60" s="49">
        <f t="shared" si="1"/>
        <v>1.1138973371838436</v>
      </c>
      <c r="M60" s="50">
        <f>($M$4*(L60/(1000*60))*($K$4*10000))*1000</f>
        <v>102.92411395578713</v>
      </c>
    </row>
    <row r="61" spans="10:13" ht="15.75" thickTop="1"/>
    <row r="63" spans="10:13">
      <c r="J63" s="15">
        <v>0</v>
      </c>
      <c r="K63">
        <f>K58</f>
        <v>5</v>
      </c>
      <c r="L63">
        <f>2*K63</f>
        <v>10</v>
      </c>
    </row>
    <row r="64" spans="10:13">
      <c r="J64" s="15">
        <v>0</v>
      </c>
      <c r="K64" s="16">
        <f>M58</f>
        <v>135.08789956697063</v>
      </c>
      <c r="L64">
        <v>0</v>
      </c>
    </row>
    <row r="66" spans="10:13">
      <c r="J66">
        <v>0</v>
      </c>
      <c r="K66">
        <f>L4</f>
        <v>5</v>
      </c>
      <c r="L66">
        <f>K59</f>
        <v>10</v>
      </c>
      <c r="M66">
        <f>K66+L66</f>
        <v>15</v>
      </c>
    </row>
    <row r="67" spans="10:13">
      <c r="J67">
        <v>0</v>
      </c>
      <c r="K67" s="16">
        <f>M59</f>
        <v>116.83277800386649</v>
      </c>
      <c r="L67" s="16">
        <f>M59</f>
        <v>116.83277800386649</v>
      </c>
      <c r="M67">
        <v>0</v>
      </c>
    </row>
    <row r="69" spans="10:13">
      <c r="J69">
        <v>0</v>
      </c>
      <c r="K69">
        <f>L4</f>
        <v>5</v>
      </c>
      <c r="L69">
        <f>K60</f>
        <v>15</v>
      </c>
      <c r="M69">
        <f>L69+K69</f>
        <v>20</v>
      </c>
    </row>
    <row r="70" spans="10:13">
      <c r="J70">
        <v>0</v>
      </c>
      <c r="K70" s="16">
        <f>M60</f>
        <v>102.92411395578713</v>
      </c>
      <c r="L70" s="16">
        <f>M60</f>
        <v>102.92411395578713</v>
      </c>
      <c r="M70">
        <v>0</v>
      </c>
    </row>
    <row r="82" spans="9:18" ht="15.75" thickBot="1"/>
    <row r="83" spans="9:18" ht="16.5" thickTop="1" thickBot="1">
      <c r="J83" t="s">
        <v>29</v>
      </c>
      <c r="O83" s="39" t="s">
        <v>23</v>
      </c>
      <c r="P83" s="55">
        <f>MAX(M58:M60)</f>
        <v>135.08789956697063</v>
      </c>
    </row>
    <row r="84" spans="9:18" ht="16.5" thickTop="1" thickBot="1"/>
    <row r="85" spans="9:18" ht="16.5" thickTop="1" thickBot="1">
      <c r="J85" s="39" t="s">
        <v>24</v>
      </c>
      <c r="K85" s="40">
        <v>1.2999999999999999E-2</v>
      </c>
      <c r="L85" s="19" t="s">
        <v>25</v>
      </c>
      <c r="M85" s="39" t="s">
        <v>26</v>
      </c>
      <c r="N85" s="17">
        <f>1000*((4^(5/3))*K85*(P83/1000)/(PI()*SQRT(Q4/100)))^(3/8)</f>
        <v>290.89901357285424</v>
      </c>
    </row>
    <row r="86" spans="9:18" ht="16.5" thickTop="1" thickBot="1"/>
    <row r="87" spans="9:18" ht="15.75" thickBot="1">
      <c r="J87" t="s">
        <v>28</v>
      </c>
      <c r="K87" s="26" t="s">
        <v>26</v>
      </c>
      <c r="L87" s="27">
        <f>ROUNDUP(N85/100,0)*100</f>
        <v>300</v>
      </c>
    </row>
    <row r="92" spans="9:18" ht="15.75" thickBot="1">
      <c r="J92" s="58" t="s">
        <v>39</v>
      </c>
      <c r="K92" s="48"/>
      <c r="L92" s="48"/>
      <c r="M92" s="48"/>
      <c r="N92" s="48"/>
      <c r="O92" s="48"/>
      <c r="P92" s="48"/>
      <c r="Q92" s="48"/>
      <c r="R92" s="48"/>
    </row>
    <row r="93" spans="9:18" ht="19.5" thickTop="1" thickBot="1">
      <c r="I93" s="57"/>
      <c r="J93" s="63" t="s">
        <v>38</v>
      </c>
      <c r="K93" s="64" t="s">
        <v>11</v>
      </c>
      <c r="L93" s="64" t="s">
        <v>40</v>
      </c>
      <c r="M93" s="64" t="s">
        <v>9</v>
      </c>
      <c r="N93" s="65" t="s">
        <v>5</v>
      </c>
      <c r="O93" s="65" t="s">
        <v>41</v>
      </c>
      <c r="P93" s="66" t="s">
        <v>6</v>
      </c>
      <c r="Q93" s="65" t="s">
        <v>42</v>
      </c>
      <c r="R93" s="67" t="s">
        <v>43</v>
      </c>
    </row>
    <row r="94" spans="9:18" ht="16.5" thickTop="1" thickBot="1">
      <c r="I94" s="57"/>
      <c r="J94" s="59" t="s">
        <v>17</v>
      </c>
      <c r="K94" s="60">
        <f>P6</f>
        <v>120</v>
      </c>
      <c r="L94" s="61">
        <f>Q6</f>
        <v>1.4</v>
      </c>
      <c r="M94" s="61">
        <f>SUM(K4:K6)</f>
        <v>4.4400000000000004</v>
      </c>
      <c r="N94" s="62">
        <f>(K4*M4+K5*M5+K6*M6)/SUM(K4:K6)</f>
        <v>0.61135135135135144</v>
      </c>
      <c r="O94" s="70">
        <f>MAX(L4*60+P4/((P83/1000)/(((L87/1000)^2)*PI()/4)),L5*60+P5/((P33/1000)/(((L37/1000)^2)*PI()/4)),L6*60)/60</f>
        <v>11.380335430173021</v>
      </c>
      <c r="P94" s="62">
        <f>35.3*(5^0.175)/(O94+27)</f>
        <v>1.2189494343226102</v>
      </c>
      <c r="Q94" s="70">
        <f>N94*(P94/60000)*M94*10000*1000</f>
        <v>551.45272408754897</v>
      </c>
      <c r="R94" s="17">
        <f>1000*((4^(5/3))*K85*(Q94/1000)/(PI()*SQRT(Q6/100)))^(3/8)</f>
        <v>541.06775160867517</v>
      </c>
    </row>
    <row r="95" spans="9:18" ht="16.5" thickTop="1" thickBot="1"/>
    <row r="96" spans="9:18" ht="18.75" thickBot="1">
      <c r="J96" s="2" t="s">
        <v>28</v>
      </c>
      <c r="K96" s="68" t="s">
        <v>44</v>
      </c>
      <c r="L96" s="69">
        <f>ROUNDUP(R94/100,0)*100</f>
        <v>600</v>
      </c>
    </row>
    <row r="98" spans="10:18">
      <c r="J98" s="80" t="s">
        <v>45</v>
      </c>
      <c r="K98" s="80"/>
      <c r="L98" s="80"/>
      <c r="M98" s="80"/>
      <c r="N98" s="80"/>
      <c r="O98" s="80"/>
      <c r="P98" s="80"/>
      <c r="Q98" s="80"/>
      <c r="R98" s="80"/>
    </row>
    <row r="99" spans="10:18">
      <c r="J99" s="80"/>
      <c r="K99" s="80"/>
      <c r="L99" s="80"/>
      <c r="M99" s="80"/>
      <c r="N99" s="80"/>
      <c r="O99" s="80"/>
      <c r="P99" s="80"/>
      <c r="Q99" s="80"/>
      <c r="R99" s="80"/>
    </row>
    <row r="100" spans="10:18">
      <c r="J100" t="s">
        <v>46</v>
      </c>
      <c r="K100" s="71">
        <f>O94</f>
        <v>11.380335430173021</v>
      </c>
      <c r="L100" t="s">
        <v>47</v>
      </c>
    </row>
    <row r="101" spans="10:18">
      <c r="J101" t="s">
        <v>48</v>
      </c>
      <c r="L101" s="71">
        <f>Q94</f>
        <v>551.45272408754897</v>
      </c>
      <c r="M101" t="s">
        <v>49</v>
      </c>
    </row>
  </sheetData>
  <mergeCells count="9">
    <mergeCell ref="J9:J10"/>
    <mergeCell ref="K9:K10"/>
    <mergeCell ref="L9:L10"/>
    <mergeCell ref="M9:M10"/>
    <mergeCell ref="J98:R99"/>
    <mergeCell ref="J56:J57"/>
    <mergeCell ref="K56:K57"/>
    <mergeCell ref="L56:L57"/>
    <mergeCell ref="M56:M57"/>
  </mergeCells>
  <pageMargins left="1" right="0.25" top="0.25" bottom="0.25" header="0" footer="0.3"/>
  <pageSetup paperSize="9" orientation="portrait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Personal Inc.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Aca</dc:creator>
  <cp:lastModifiedBy>DrAgon Of KaZaMath</cp:lastModifiedBy>
  <cp:lastPrinted>2009-09-23T19:47:45Z</cp:lastPrinted>
  <dcterms:created xsi:type="dcterms:W3CDTF">2009-04-27T18:06:33Z</dcterms:created>
  <dcterms:modified xsi:type="dcterms:W3CDTF">2009-09-23T19:47:56Z</dcterms:modified>
</cp:coreProperties>
</file>